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25b568a55f41ac/!AA Shared/H2o/FB watershedding/To share/"/>
    </mc:Choice>
  </mc:AlternateContent>
  <xr:revisionPtr revIDLastSave="293" documentId="8_{1CFDC6C8-2057-47FB-B227-EC64FC4D8BC6}" xr6:coauthVersionLast="45" xr6:coauthVersionMax="45" xr10:uidLastSave="{AC1AF566-BD63-416C-BB80-E8183ADC18B6}"/>
  <bookViews>
    <workbookView xWindow="-120" yWindow="-120" windowWidth="29040" windowHeight="15840" xr2:uid="{4126A4D4-A1B5-467A-9F44-58FADDE67038}"/>
  </bookViews>
  <sheets>
    <sheet name="Main" sheetId="1" r:id="rId1"/>
    <sheet name="Flats" sheetId="2" r:id="rId2"/>
    <sheet name="Dropdown" sheetId="3" state="hidden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C8" i="1"/>
  <c r="D8" i="1"/>
  <c r="E8" i="1"/>
  <c r="F8" i="1"/>
  <c r="G8" i="1"/>
  <c r="C9" i="1"/>
  <c r="D9" i="1"/>
  <c r="E9" i="1"/>
  <c r="F9" i="1"/>
  <c r="G9" i="1"/>
  <c r="C10" i="1"/>
  <c r="D10" i="1"/>
  <c r="E10" i="1"/>
  <c r="F10" i="1"/>
  <c r="G10" i="1"/>
  <c r="C11" i="1"/>
  <c r="D11" i="1"/>
  <c r="E11" i="1"/>
  <c r="F11" i="1"/>
  <c r="G11" i="1"/>
  <c r="B8" i="1"/>
  <c r="B9" i="1"/>
  <c r="B10" i="1"/>
  <c r="B11" i="1"/>
  <c r="B7" i="1"/>
  <c r="H17" i="3"/>
  <c r="H16" i="3"/>
  <c r="H15" i="3"/>
  <c r="G17" i="3"/>
  <c r="G16" i="3"/>
  <c r="G15" i="3"/>
  <c r="F17" i="3"/>
  <c r="F16" i="3"/>
  <c r="F15" i="3"/>
  <c r="E17" i="3"/>
  <c r="E16" i="3"/>
  <c r="H11" i="3"/>
  <c r="G11" i="3"/>
  <c r="F11" i="3"/>
  <c r="H10" i="3"/>
  <c r="G10" i="3"/>
  <c r="F10" i="3"/>
  <c r="E10" i="3"/>
  <c r="H9" i="3"/>
  <c r="G9" i="3"/>
  <c r="F9" i="3"/>
  <c r="H2" i="1" l="1"/>
  <c r="H5" i="1" s="1"/>
  <c r="H10" i="1" l="1"/>
  <c r="H9" i="1"/>
  <c r="H8" i="1"/>
  <c r="H7" i="1"/>
  <c r="I7" i="1" s="1"/>
  <c r="H11" i="1"/>
  <c r="B1" i="2" l="1"/>
  <c r="B20" i="2"/>
  <c r="L7" i="1"/>
  <c r="N7" i="1" l="1"/>
  <c r="J7" i="1"/>
  <c r="I8" i="1" s="1"/>
  <c r="M7" i="1"/>
  <c r="P7" i="1"/>
  <c r="O7" i="1"/>
  <c r="K7" i="1"/>
  <c r="J8" i="1" l="1"/>
  <c r="I9" i="1" s="1"/>
  <c r="L8" i="1" l="1"/>
  <c r="P8" i="1"/>
  <c r="M8" i="1"/>
  <c r="K8" i="1"/>
  <c r="O8" i="1"/>
  <c r="N8" i="1"/>
  <c r="M9" i="1" l="1"/>
  <c r="N9" i="1"/>
  <c r="O9" i="1"/>
  <c r="K9" i="1"/>
  <c r="L9" i="1"/>
  <c r="P9" i="1"/>
  <c r="J9" i="1"/>
  <c r="I10" i="1" s="1"/>
  <c r="K10" i="1" l="1"/>
  <c r="P10" i="1"/>
  <c r="N10" i="1"/>
  <c r="O10" i="1"/>
  <c r="M10" i="1"/>
  <c r="L10" i="1"/>
  <c r="J10" i="1"/>
  <c r="I11" i="1" s="1"/>
  <c r="P11" i="1" l="1"/>
  <c r="P12" i="1" s="1"/>
  <c r="K11" i="1"/>
  <c r="K12" i="1" s="1"/>
  <c r="N11" i="1"/>
  <c r="N12" i="1" s="1"/>
  <c r="O11" i="1"/>
  <c r="O12" i="1" s="1"/>
  <c r="M11" i="1"/>
  <c r="M12" i="1" s="1"/>
  <c r="L11" i="1"/>
  <c r="L12" i="1" s="1"/>
  <c r="J11" i="1"/>
  <c r="C9" i="2" l="1"/>
  <c r="C8" i="2"/>
  <c r="C14" i="2"/>
  <c r="C17" i="2"/>
  <c r="C18" i="2"/>
  <c r="C13" i="2"/>
  <c r="C5" i="2"/>
  <c r="C6" i="2"/>
  <c r="C11" i="2"/>
  <c r="C7" i="2"/>
  <c r="C4" i="2"/>
  <c r="C12" i="2"/>
  <c r="C15" i="2"/>
  <c r="C10" i="2"/>
  <c r="C16" i="2"/>
  <c r="O16" i="1"/>
  <c r="O13" i="1"/>
  <c r="O15" i="1"/>
  <c r="G5" i="2"/>
  <c r="G16" i="2"/>
  <c r="G11" i="2"/>
  <c r="G8" i="2"/>
  <c r="G12" i="2"/>
  <c r="G7" i="2"/>
  <c r="G9" i="2"/>
  <c r="G10" i="2"/>
  <c r="G18" i="2"/>
  <c r="G13" i="2"/>
  <c r="G6" i="2"/>
  <c r="G14" i="2"/>
  <c r="G17" i="2"/>
  <c r="G15" i="2"/>
  <c r="G4" i="2"/>
  <c r="N15" i="1"/>
  <c r="N13" i="1"/>
  <c r="F9" i="2"/>
  <c r="F6" i="2"/>
  <c r="F5" i="2"/>
  <c r="F15" i="2"/>
  <c r="F16" i="2"/>
  <c r="F12" i="2"/>
  <c r="F10" i="2"/>
  <c r="F18" i="2"/>
  <c r="F8" i="2"/>
  <c r="F4" i="2"/>
  <c r="F13" i="2"/>
  <c r="F14" i="2"/>
  <c r="F11" i="2"/>
  <c r="F7" i="2"/>
  <c r="F17" i="2"/>
  <c r="L13" i="1"/>
  <c r="D10" i="2"/>
  <c r="D18" i="2"/>
  <c r="D11" i="2"/>
  <c r="D7" i="2"/>
  <c r="D14" i="2"/>
  <c r="D4" i="2"/>
  <c r="D6" i="2"/>
  <c r="D9" i="2"/>
  <c r="D16" i="2"/>
  <c r="D17" i="2"/>
  <c r="D5" i="2"/>
  <c r="D8" i="2"/>
  <c r="D15" i="2"/>
  <c r="D12" i="2"/>
  <c r="D13" i="2"/>
  <c r="M13" i="1"/>
  <c r="M14" i="1" s="1"/>
  <c r="E8" i="2"/>
  <c r="E11" i="2"/>
  <c r="E14" i="2"/>
  <c r="E4" i="2"/>
  <c r="E10" i="2"/>
  <c r="E18" i="2"/>
  <c r="E5" i="2"/>
  <c r="E13" i="2"/>
  <c r="E9" i="2"/>
  <c r="E6" i="2"/>
  <c r="E17" i="2"/>
  <c r="E12" i="2"/>
  <c r="E7" i="2"/>
  <c r="E15" i="2"/>
  <c r="E16" i="2"/>
  <c r="P17" i="1"/>
  <c r="P16" i="1"/>
  <c r="P15" i="1"/>
  <c r="P13" i="1"/>
  <c r="H7" i="2"/>
  <c r="H9" i="2"/>
  <c r="H12" i="2"/>
  <c r="H13" i="2"/>
  <c r="H5" i="2"/>
  <c r="H8" i="2"/>
  <c r="H17" i="2"/>
  <c r="H6" i="2"/>
  <c r="H14" i="2"/>
  <c r="H15" i="2"/>
  <c r="H10" i="2"/>
  <c r="H18" i="2"/>
  <c r="H11" i="2"/>
  <c r="H4" i="2"/>
  <c r="H16" i="2"/>
  <c r="H20" i="2" l="1"/>
  <c r="E20" i="2"/>
  <c r="N14" i="1"/>
  <c r="C20" i="2"/>
  <c r="P14" i="1"/>
  <c r="D20" i="2"/>
  <c r="F20" i="2"/>
  <c r="G20" i="2"/>
  <c r="O14" i="1"/>
</calcChain>
</file>

<file path=xl/sharedStrings.xml><?xml version="1.0" encoding="utf-8"?>
<sst xmlns="http://schemas.openxmlformats.org/spreadsheetml/2006/main" count="76" uniqueCount="63">
  <si>
    <t>Water Consumption</t>
  </si>
  <si>
    <t xml:space="preserve">Enter consumption in kilolitres </t>
  </si>
  <si>
    <t>Reading Dates</t>
  </si>
  <si>
    <t>Curr</t>
  </si>
  <si>
    <t>Previous</t>
  </si>
  <si>
    <t>Days</t>
  </si>
  <si>
    <t>Dates entered in dd/mm/yyyy</t>
  </si>
  <si>
    <t>Stage</t>
  </si>
  <si>
    <t>Year</t>
  </si>
  <si>
    <t>2020-2021</t>
  </si>
  <si>
    <t>https://www.facebook.com/h2oeastlondon/</t>
  </si>
  <si>
    <t>Values include VAT</t>
  </si>
  <si>
    <t>30 day base</t>
  </si>
  <si>
    <t>Normal tarrif</t>
  </si>
  <si>
    <t>Stage 2</t>
  </si>
  <si>
    <t>Stage 3
Penalties 21k+</t>
  </si>
  <si>
    <t>Stage 4
Penalties 11k+</t>
  </si>
  <si>
    <t>Stage 5
Penalties 11k+</t>
  </si>
  <si>
    <t>Stage 6
Penalties 11k+</t>
  </si>
  <si>
    <t>BCM Base for number of days between readings</t>
  </si>
  <si>
    <t>Qty to be charged</t>
  </si>
  <si>
    <t>Carry Over</t>
  </si>
  <si>
    <t>Normal rate</t>
  </si>
  <si>
    <t>Stage 3</t>
  </si>
  <si>
    <t>Stage 4</t>
  </si>
  <si>
    <t>Stage 5</t>
  </si>
  <si>
    <t>Stage 6</t>
  </si>
  <si>
    <t>0-6kl</t>
  </si>
  <si>
    <t>7-10kl</t>
  </si>
  <si>
    <t>11-20kl</t>
  </si>
  <si>
    <t>21-30kl</t>
  </si>
  <si>
    <t>31-  kl</t>
  </si>
  <si>
    <t>Your Bill</t>
  </si>
  <si>
    <t>Penalty Above Normal Rate</t>
  </si>
  <si>
    <t>Penalty Above Stage 2</t>
  </si>
  <si>
    <t>NA</t>
  </si>
  <si>
    <t>Penalty Above Stage 3</t>
  </si>
  <si>
    <t>Penalty Above Stage 4</t>
  </si>
  <si>
    <t>Penalty Above Stage 5</t>
  </si>
  <si>
    <t>Number of flats</t>
  </si>
  <si>
    <t>Stage2</t>
  </si>
  <si>
    <t>Stage4</t>
  </si>
  <si>
    <t>Stage5</t>
  </si>
  <si>
    <t>Stage6</t>
  </si>
  <si>
    <t>Reading 1</t>
  </si>
  <si>
    <t>Reading 2</t>
  </si>
  <si>
    <t>Reading 3</t>
  </si>
  <si>
    <t>Reading 4</t>
  </si>
  <si>
    <t>Reading 5</t>
  </si>
  <si>
    <t>Reading 6</t>
  </si>
  <si>
    <t>Reading 7</t>
  </si>
  <si>
    <t>Reading 8</t>
  </si>
  <si>
    <t>Reading 9</t>
  </si>
  <si>
    <t>Reading 10</t>
  </si>
  <si>
    <t>Reading 11</t>
  </si>
  <si>
    <t>Reading 12</t>
  </si>
  <si>
    <t>Reading 13</t>
  </si>
  <si>
    <t>Reading 14</t>
  </si>
  <si>
    <t>Reading 15</t>
  </si>
  <si>
    <t>Totals</t>
  </si>
  <si>
    <t>Red Out of balance</t>
  </si>
  <si>
    <t>Green in balance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</si>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</sst>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&quot;* #,##0.00_-;\-&quot;R&quot;* #,##0.00_-;_-&quot;R&quot;* &quot;-&quot;??_-;_-@_-"/>
    <numFmt numFmtId="165" formatCode="0.000"/>
    <numFmt numFmtId="166" formatCode="#,##0.000_ ;\-#,##0.00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2" fillId="3" borderId="1" xfId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 applyAlignment="1" applyProtection="1">
      <alignment vertical="center"/>
      <protection locked="0"/>
    </xf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2" fillId="3" borderId="6" xfId="1" applyFont="1" applyFill="1" applyBorder="1" applyAlignment="1">
      <alignment vertical="center"/>
    </xf>
    <xf numFmtId="165" fontId="0" fillId="0" borderId="7" xfId="0" applyNumberFormat="1" applyBorder="1" applyAlignment="1">
      <alignment horizontal="center" vertical="center"/>
    </xf>
    <xf numFmtId="14" fontId="0" fillId="2" borderId="0" xfId="0" applyNumberForma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6" fontId="0" fillId="0" borderId="7" xfId="1" applyNumberFormat="1" applyFont="1" applyBorder="1" applyAlignment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NumberFormat="1" applyFill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0" borderId="2" xfId="2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1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fgColor auto="1"/>
          <bgColor theme="8" tint="-0.2499465926084170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fgColor auto="1"/>
          <bgColor theme="8" tint="-0.2499465926084170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h2oeastlondon.co.za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11</xdr:row>
      <xdr:rowOff>161925</xdr:rowOff>
    </xdr:from>
    <xdr:to>
      <xdr:col>2</xdr:col>
      <xdr:colOff>366372</xdr:colOff>
      <xdr:row>13</xdr:row>
      <xdr:rowOff>276225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647F4A-E97B-475C-AFA8-EAF215515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114675"/>
          <a:ext cx="1947522" cy="10287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11</xdr:row>
      <xdr:rowOff>133350</xdr:rowOff>
    </xdr:from>
    <xdr:to>
      <xdr:col>4</xdr:col>
      <xdr:colOff>514350</xdr:colOff>
      <xdr:row>13</xdr:row>
      <xdr:rowOff>333375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5C6A3-D809-498E-BAB5-15881A985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3086100"/>
          <a:ext cx="1114425" cy="111442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13</xdr:row>
      <xdr:rowOff>390525</xdr:rowOff>
    </xdr:from>
    <xdr:to>
      <xdr:col>6</xdr:col>
      <xdr:colOff>285750</xdr:colOff>
      <xdr:row>19</xdr:row>
      <xdr:rowOff>123825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E493423-740E-4F94-B12F-FE72723B3BE8}"/>
            </a:ext>
          </a:extLst>
        </xdr:cNvPr>
        <xdr:cNvSpPr txBox="1"/>
      </xdr:nvSpPr>
      <xdr:spPr>
        <a:xfrm>
          <a:off x="200025" y="4457700"/>
          <a:ext cx="4210050" cy="2362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/>
            <a:t>Document provided by H2o East London</a:t>
          </a:r>
        </a:p>
        <a:p>
          <a:r>
            <a:rPr lang="en-ZA" sz="1100"/>
            <a:t>Shop 5, Nahoon Checkers Centre</a:t>
          </a:r>
        </a:p>
        <a:p>
          <a:r>
            <a:rPr lang="en-ZA" sz="1100"/>
            <a:t>88 Old</a:t>
          </a:r>
          <a:r>
            <a:rPr lang="en-ZA" sz="1100" baseline="0"/>
            <a:t> Transkei Road</a:t>
          </a:r>
        </a:p>
        <a:p>
          <a:r>
            <a:rPr lang="en-ZA" sz="1100" baseline="0"/>
            <a:t>043 555 0246</a:t>
          </a:r>
        </a:p>
        <a:p>
          <a:endParaRPr lang="en-ZA" sz="1100" baseline="0"/>
        </a:p>
        <a:p>
          <a:r>
            <a:rPr lang="en-ZA" sz="1100" baseline="0"/>
            <a:t>Free for use, as a guideline, at own risk, errors and ommisions not covered.</a:t>
          </a:r>
        </a:p>
        <a:p>
          <a:r>
            <a:rPr lang="en-ZA" sz="1100" baseline="0"/>
            <a:t>Thank you to </a:t>
          </a:r>
          <a:r>
            <a:rPr lang="en-ZA" sz="1100" b="1" baseline="0"/>
            <a:t>David Grant </a:t>
          </a:r>
          <a:r>
            <a:rPr lang="en-ZA" sz="1100" baseline="0"/>
            <a:t>for directing on errors. and working out how BCM are working the BCM thoughts on the periods.</a:t>
          </a:r>
        </a:p>
        <a:p>
          <a:r>
            <a:rPr lang="en-ZA" sz="1100" baseline="0">
              <a:solidFill>
                <a:srgbClr val="FF0000"/>
              </a:solidFill>
            </a:rPr>
            <a:t>Stage 2,4, 5 &amp; 6 are calculated from BCM tarriffs, and not confirmed</a:t>
          </a:r>
          <a:endParaRPr lang="en-ZA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22</xdr:row>
      <xdr:rowOff>85725</xdr:rowOff>
    </xdr:from>
    <xdr:to>
      <xdr:col>2</xdr:col>
      <xdr:colOff>442572</xdr:colOff>
      <xdr:row>27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CBED25-8704-4ED2-9B16-0149EE0A7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4791075"/>
          <a:ext cx="1947522" cy="1028700"/>
        </a:xfrm>
        <a:prstGeom prst="rect">
          <a:avLst/>
        </a:prstGeom>
      </xdr:spPr>
    </xdr:pic>
    <xdr:clientData/>
  </xdr:twoCellAnchor>
  <xdr:twoCellAnchor editAs="oneCell">
    <xdr:from>
      <xdr:col>2</xdr:col>
      <xdr:colOff>695325</xdr:colOff>
      <xdr:row>22</xdr:row>
      <xdr:rowOff>57150</xdr:rowOff>
    </xdr:from>
    <xdr:to>
      <xdr:col>3</xdr:col>
      <xdr:colOff>866775</xdr:colOff>
      <xdr:row>28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619945-F70A-41DB-9FD3-9BF6A5F98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4762500"/>
          <a:ext cx="1114425" cy="1114425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21</xdr:row>
      <xdr:rowOff>57150</xdr:rowOff>
    </xdr:from>
    <xdr:to>
      <xdr:col>8</xdr:col>
      <xdr:colOff>219075</xdr:colOff>
      <xdr:row>33</xdr:row>
      <xdr:rowOff>133350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517F8F3-1684-4AC9-A238-A53653D6DA9B}"/>
            </a:ext>
          </a:extLst>
        </xdr:cNvPr>
        <xdr:cNvSpPr txBox="1"/>
      </xdr:nvSpPr>
      <xdr:spPr>
        <a:xfrm>
          <a:off x="3619500" y="4572000"/>
          <a:ext cx="3924300" cy="2362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/>
            <a:t>Document provided by H2o East London</a:t>
          </a:r>
        </a:p>
        <a:p>
          <a:r>
            <a:rPr lang="en-ZA" sz="1100"/>
            <a:t>Shop 5, Nahoon Checkers Centre</a:t>
          </a:r>
        </a:p>
        <a:p>
          <a:r>
            <a:rPr lang="en-ZA" sz="1100"/>
            <a:t>88 Old</a:t>
          </a:r>
          <a:r>
            <a:rPr lang="en-ZA" sz="1100" baseline="0"/>
            <a:t> Transkei Road</a:t>
          </a:r>
        </a:p>
        <a:p>
          <a:r>
            <a:rPr lang="en-ZA" sz="1100" baseline="0"/>
            <a:t>043 555 0246</a:t>
          </a:r>
        </a:p>
        <a:p>
          <a:endParaRPr lang="en-ZA" sz="1100" baseline="0"/>
        </a:p>
        <a:p>
          <a:r>
            <a:rPr lang="en-ZA" sz="1100" baseline="0"/>
            <a:t>Free for use, as a guideline, at own risk, errors and ommisions not covered.</a:t>
          </a:r>
        </a:p>
        <a:p>
          <a:r>
            <a:rPr lang="en-ZA" sz="1100" baseline="0"/>
            <a:t>Thank you to </a:t>
          </a:r>
          <a:r>
            <a:rPr lang="en-ZA" sz="1100" b="1" baseline="0"/>
            <a:t>David Grant </a:t>
          </a:r>
          <a:r>
            <a:rPr lang="en-ZA" sz="1100" baseline="0"/>
            <a:t>for directing on errors.</a:t>
          </a:r>
        </a:p>
        <a:p>
          <a:r>
            <a:rPr lang="en-ZA" sz="1100" baseline="0">
              <a:solidFill>
                <a:srgbClr val="FF0000"/>
              </a:solidFill>
            </a:rPr>
            <a:t>Stage 4, 5, 6 are calculated from BCM tarriffs, and not confirmed</a:t>
          </a:r>
          <a:endParaRPr lang="en-ZA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cebook.com/h2oeastlondo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3D0F-B7B1-423B-B541-F5C09E1986C8}">
  <sheetPr>
    <pageSetUpPr fitToPage="1"/>
  </sheetPr>
  <dimension ref="A1:P17"/>
  <sheetViews>
    <sheetView tabSelected="1" workbookViewId="0">
      <selection activeCell="C4" sqref="C4"/>
    </sheetView>
  </sheetViews>
  <sheetFormatPr defaultRowHeight="15"/>
  <cols>
    <col min="1" max="1" width="14.5703125" customWidth="1"/>
    <col min="2" max="2" width="10.7109375" customWidth="1"/>
    <col min="3" max="3" width="10.7109375" bestFit="1" customWidth="1"/>
    <col min="6" max="6" width="10.7109375" bestFit="1" customWidth="1"/>
    <col min="7" max="7" width="10.7109375" style="7" customWidth="1"/>
    <col min="8" max="8" width="13.28515625" style="7" customWidth="1"/>
    <col min="9" max="13" width="13.42578125" customWidth="1"/>
    <col min="14" max="14" width="11.28515625" customWidth="1"/>
    <col min="15" max="15" width="14.85546875" customWidth="1"/>
    <col min="16" max="16" width="12.5703125" customWidth="1"/>
  </cols>
  <sheetData>
    <row r="1" spans="1:16" s="8" customFormat="1" ht="31.5" customHeight="1">
      <c r="A1" s="1" t="s">
        <v>0</v>
      </c>
      <c r="C1" s="12">
        <v>24</v>
      </c>
      <c r="D1" s="13" t="s">
        <v>1</v>
      </c>
    </row>
    <row r="2" spans="1:16" s="8" customFormat="1" ht="31.5" customHeight="1">
      <c r="A2" s="1" t="s">
        <v>2</v>
      </c>
      <c r="B2" s="25" t="s">
        <v>3</v>
      </c>
      <c r="C2" s="24">
        <v>44014</v>
      </c>
      <c r="D2" s="13"/>
      <c r="E2" s="8" t="s">
        <v>4</v>
      </c>
      <c r="F2" s="24">
        <v>43984</v>
      </c>
      <c r="G2" s="8" t="s">
        <v>5</v>
      </c>
      <c r="H2" s="8">
        <f>C2-F2</f>
        <v>30</v>
      </c>
      <c r="I2" s="28" t="s">
        <v>6</v>
      </c>
      <c r="J2" s="13"/>
    </row>
    <row r="3" spans="1:16" s="8" customFormat="1" ht="31.5" customHeight="1">
      <c r="A3" s="1" t="s">
        <v>7</v>
      </c>
      <c r="B3" s="25"/>
      <c r="C3" s="12">
        <v>3</v>
      </c>
      <c r="D3" s="13"/>
      <c r="F3" s="29"/>
      <c r="I3" s="28"/>
      <c r="J3" s="13"/>
    </row>
    <row r="4" spans="1:16" s="8" customFormat="1" ht="31.5" customHeight="1">
      <c r="A4" s="1" t="s">
        <v>8</v>
      </c>
      <c r="B4" s="25"/>
      <c r="C4" s="24" t="s">
        <v>9</v>
      </c>
      <c r="D4" s="13"/>
      <c r="F4" s="29"/>
      <c r="I4" s="28"/>
      <c r="J4" s="13"/>
    </row>
    <row r="5" spans="1:16" s="2" customFormat="1" ht="33.75" customHeight="1">
      <c r="B5" s="36" t="s">
        <v>10</v>
      </c>
      <c r="C5" s="36"/>
      <c r="D5" s="36"/>
      <c r="E5" s="36"/>
      <c r="F5" s="36"/>
      <c r="G5" s="36"/>
      <c r="H5" s="20">
        <f>H2/(365.25/12)</f>
        <v>0.98562628336755642</v>
      </c>
      <c r="I5" s="2" t="s">
        <v>11</v>
      </c>
    </row>
    <row r="6" spans="1:16" s="1" customFormat="1" ht="67.5" customHeight="1">
      <c r="A6" s="3" t="s">
        <v>12</v>
      </c>
      <c r="B6" s="4" t="s">
        <v>13</v>
      </c>
      <c r="C6" s="4" t="s">
        <v>14</v>
      </c>
      <c r="D6" s="4" t="s">
        <v>15</v>
      </c>
      <c r="E6" s="4" t="s">
        <v>16</v>
      </c>
      <c r="F6" s="4" t="s">
        <v>17</v>
      </c>
      <c r="G6" s="4" t="s">
        <v>18</v>
      </c>
      <c r="H6" s="4" t="s">
        <v>19</v>
      </c>
      <c r="I6" s="4" t="s">
        <v>20</v>
      </c>
      <c r="J6" s="4" t="s">
        <v>21</v>
      </c>
      <c r="K6" s="4" t="s">
        <v>22</v>
      </c>
      <c r="L6" s="4" t="s">
        <v>14</v>
      </c>
      <c r="M6" s="4" t="s">
        <v>23</v>
      </c>
      <c r="N6" s="4" t="s">
        <v>24</v>
      </c>
      <c r="O6" s="4" t="s">
        <v>25</v>
      </c>
      <c r="P6" s="4" t="s">
        <v>26</v>
      </c>
    </row>
    <row r="7" spans="1:16" s="2" customFormat="1" ht="27.75" customHeight="1">
      <c r="A7" s="5" t="s">
        <v>27</v>
      </c>
      <c r="B7" s="6">
        <f>IF($C$4=Dropdown!$A$1,Dropdown!C7,IF($C$4=Dropdown!$A$2,Dropdown!C13,"Select Year"))</f>
        <v>19.541799999999999</v>
      </c>
      <c r="C7" s="6">
        <f>IF($C$4=Dropdown!$A$1,Dropdown!D7,IF($C$4=Dropdown!$A$2,Dropdown!D13,"Select Year"))</f>
        <v>19.3659</v>
      </c>
      <c r="D7" s="6">
        <f>IF($C$4=Dropdown!$A$1,Dropdown!E7,IF($C$4=Dropdown!$A$2,Dropdown!E13,"Select Year"))</f>
        <v>19.541799999999999</v>
      </c>
      <c r="E7" s="6">
        <f>IF($C$4=Dropdown!$A$1,Dropdown!F7,IF($C$4=Dropdown!$A$2,Dropdown!F13,"Select Year"))</f>
        <v>19.541799999999999</v>
      </c>
      <c r="F7" s="6">
        <f>IF($C$4=Dropdown!$A$1,Dropdown!G7,IF($C$4=Dropdown!$A$2,Dropdown!G13,"Select Year"))</f>
        <v>19.541799999999999</v>
      </c>
      <c r="G7" s="6">
        <f>IF($C$4=Dropdown!$A$1,Dropdown!H7,IF($C$4=Dropdown!$A$2,Dropdown!H13,"Select Year"))</f>
        <v>19.541799999999999</v>
      </c>
      <c r="H7" s="26">
        <f>6*H5</f>
        <v>5.9137577002053385</v>
      </c>
      <c r="I7" s="21">
        <f>IF(C1&gt;H7,H7,C1)</f>
        <v>5.9137577002053385</v>
      </c>
      <c r="J7" s="21">
        <f>C1-I7</f>
        <v>18.086242299794662</v>
      </c>
      <c r="K7" s="6">
        <f>I7*B7</f>
        <v>115.56547022587267</v>
      </c>
      <c r="L7" s="6">
        <f>$I7*C7</f>
        <v>114.52524024640657</v>
      </c>
      <c r="M7" s="6">
        <f>$I7*D7</f>
        <v>115.56547022587267</v>
      </c>
      <c r="N7" s="6">
        <f>$I7*E7</f>
        <v>115.56547022587267</v>
      </c>
      <c r="O7" s="6">
        <f>$I7*F7</f>
        <v>115.56547022587267</v>
      </c>
      <c r="P7" s="6">
        <f>$I7*G7</f>
        <v>115.56547022587267</v>
      </c>
    </row>
    <row r="8" spans="1:16" s="2" customFormat="1" ht="27.75" customHeight="1">
      <c r="A8" s="5" t="s">
        <v>28</v>
      </c>
      <c r="B8" s="6">
        <f>IF($C$4=Dropdown!$A$1,Dropdown!C8,IF($C$4=Dropdown!$A$2,Dropdown!C14,"Select Year"))</f>
        <v>19.9251</v>
      </c>
      <c r="C8" s="6">
        <f>IF($C$4=Dropdown!$A$1,Dropdown!D8,IF($C$4=Dropdown!$A$2,Dropdown!D14,"Select Year"))</f>
        <v>19.7456</v>
      </c>
      <c r="D8" s="6">
        <f>IF($C$4=Dropdown!$A$1,Dropdown!E8,IF($C$4=Dropdown!$A$2,Dropdown!E14,"Select Year"))</f>
        <v>19.9251</v>
      </c>
      <c r="E8" s="6">
        <f>IF($C$4=Dropdown!$A$1,Dropdown!F8,IF($C$4=Dropdown!$A$2,Dropdown!F14,"Select Year"))</f>
        <v>19.9251</v>
      </c>
      <c r="F8" s="6">
        <f>IF($C$4=Dropdown!$A$1,Dropdown!G8,IF($C$4=Dropdown!$A$2,Dropdown!G14,"Select Year"))</f>
        <v>19.9251</v>
      </c>
      <c r="G8" s="6">
        <f>IF($C$4=Dropdown!$A$1,Dropdown!H8,IF($C$4=Dropdown!$A$2,Dropdown!H14,"Select Year"))</f>
        <v>19.9251</v>
      </c>
      <c r="H8" s="26">
        <f>4*H5</f>
        <v>3.9425051334702257</v>
      </c>
      <c r="I8" s="21">
        <f>IF(J7&gt;H8,H8,J7)</f>
        <v>3.9425051334702257</v>
      </c>
      <c r="J8" s="21">
        <f>J7-I8</f>
        <v>14.143737166324437</v>
      </c>
      <c r="K8" s="6">
        <f>I8*B8</f>
        <v>78.554809034907592</v>
      </c>
      <c r="L8" s="6">
        <f>$I8*C8</f>
        <v>77.847129363449682</v>
      </c>
      <c r="M8" s="6">
        <f>I8*D8</f>
        <v>78.554809034907592</v>
      </c>
      <c r="N8" s="6">
        <f t="shared" ref="N8:P11" si="0">$I8*E8</f>
        <v>78.554809034907592</v>
      </c>
      <c r="O8" s="6">
        <f t="shared" si="0"/>
        <v>78.554809034907592</v>
      </c>
      <c r="P8" s="6">
        <f t="shared" si="0"/>
        <v>78.554809034907592</v>
      </c>
    </row>
    <row r="9" spans="1:16" s="2" customFormat="1" ht="27.75" customHeight="1">
      <c r="A9" s="5" t="s">
        <v>29</v>
      </c>
      <c r="B9" s="6">
        <f>IF($C$4=Dropdown!$A$1,Dropdown!C9,IF($C$4=Dropdown!$A$2,Dropdown!C15,"Select Year"))</f>
        <v>27.673300000000001</v>
      </c>
      <c r="C9" s="6">
        <f>IF($C$4=Dropdown!$A$1,Dropdown!D9,IF($C$4=Dropdown!$A$2,Dropdown!D15,"Select Year"))</f>
        <v>28.0932</v>
      </c>
      <c r="D9" s="6">
        <f>IF($C$4=Dropdown!$A$1,Dropdown!E9,IF($C$4=Dropdown!$A$2,Dropdown!E15,"Select Year"))</f>
        <v>27.673300000000001</v>
      </c>
      <c r="E9" s="6">
        <f>IF($C$4=Dropdown!$A$1,Dropdown!F9,IF($C$4=Dropdown!$A$2,Dropdown!F15,"Select Year"))</f>
        <v>138.3665</v>
      </c>
      <c r="F9" s="6">
        <f>IF($C$4=Dropdown!$A$1,Dropdown!G9,IF($C$4=Dropdown!$A$2,Dropdown!G15,"Select Year"))</f>
        <v>138.3665</v>
      </c>
      <c r="G9" s="6">
        <f>IF($C$4=Dropdown!$A$1,Dropdown!H9,IF($C$4=Dropdown!$A$2,Dropdown!H15,"Select Year"))</f>
        <v>276.733</v>
      </c>
      <c r="H9" s="26">
        <f>10*H5</f>
        <v>9.8562628336755651</v>
      </c>
      <c r="I9" s="21">
        <f t="shared" ref="I9:I10" si="1">IF(J8&gt;H9,H9,J8)</f>
        <v>9.8562628336755651</v>
      </c>
      <c r="J9" s="21">
        <f>J8-I9</f>
        <v>4.2874743326488716</v>
      </c>
      <c r="K9" s="6">
        <f>I9*B9</f>
        <v>272.75531827515402</v>
      </c>
      <c r="L9" s="6">
        <f>$I9*C9</f>
        <v>276.89396303901441</v>
      </c>
      <c r="M9" s="6">
        <f>I9*D9</f>
        <v>272.75531827515402</v>
      </c>
      <c r="N9" s="6">
        <f t="shared" si="0"/>
        <v>1363.7765913757701</v>
      </c>
      <c r="O9" s="6">
        <f t="shared" si="0"/>
        <v>1363.7765913757701</v>
      </c>
      <c r="P9" s="6">
        <f t="shared" si="0"/>
        <v>2727.5531827515401</v>
      </c>
    </row>
    <row r="10" spans="1:16" s="2" customFormat="1" ht="27.75" customHeight="1">
      <c r="A10" s="5" t="s">
        <v>30</v>
      </c>
      <c r="B10" s="6">
        <f>IF($C$4=Dropdown!$A$1,Dropdown!C10,IF($C$4=Dropdown!$A$2,Dropdown!C16,"Select Year"))</f>
        <v>35.872799999999998</v>
      </c>
      <c r="C10" s="6">
        <f>IF($C$4=Dropdown!$A$1,Dropdown!D10,IF($C$4=Dropdown!$A$2,Dropdown!D16,"Select Year"))</f>
        <v>38.151000000000003</v>
      </c>
      <c r="D10" s="6">
        <f>IF($C$4=Dropdown!$A$1,Dropdown!E10,IF($C$4=Dropdown!$A$2,Dropdown!E16,"Select Year"))</f>
        <v>179.36399999999998</v>
      </c>
      <c r="E10" s="6">
        <f>IF($C$4=Dropdown!$A$1,Dropdown!F10,IF($C$4=Dropdown!$A$2,Dropdown!F16,"Select Year"))</f>
        <v>179.36399999999998</v>
      </c>
      <c r="F10" s="6">
        <f>IF($C$4=Dropdown!$A$1,Dropdown!G10,IF($C$4=Dropdown!$A$2,Dropdown!G16,"Select Year"))</f>
        <v>717.4559999999999</v>
      </c>
      <c r="G10" s="6">
        <f>IF($C$4=Dropdown!$A$1,Dropdown!H10,IF($C$4=Dropdown!$A$2,Dropdown!H16,"Select Year"))</f>
        <v>717.4559999999999</v>
      </c>
      <c r="H10" s="26">
        <f>10*H5</f>
        <v>9.8562628336755651</v>
      </c>
      <c r="I10" s="21">
        <f t="shared" si="1"/>
        <v>4.2874743326488716</v>
      </c>
      <c r="J10" s="21">
        <f>J9-I10</f>
        <v>0</v>
      </c>
      <c r="K10" s="6">
        <f>I10*B10</f>
        <v>153.80370924024643</v>
      </c>
      <c r="L10" s="6">
        <f>$I10*C10</f>
        <v>163.5714332648871</v>
      </c>
      <c r="M10" s="6">
        <f>I10*D10</f>
        <v>769.01854620123208</v>
      </c>
      <c r="N10" s="6">
        <f t="shared" si="0"/>
        <v>769.01854620123208</v>
      </c>
      <c r="O10" s="6">
        <f t="shared" si="0"/>
        <v>3076.0741848049283</v>
      </c>
      <c r="P10" s="6">
        <f t="shared" si="0"/>
        <v>3076.0741848049283</v>
      </c>
    </row>
    <row r="11" spans="1:16" s="2" customFormat="1" ht="27.75" customHeight="1">
      <c r="A11" s="5" t="s">
        <v>31</v>
      </c>
      <c r="B11" s="6">
        <f>IF($C$4=Dropdown!$A$1,Dropdown!C11,IF($C$4=Dropdown!$A$2,Dropdown!C17,"Select Year"))</f>
        <v>45.0184</v>
      </c>
      <c r="C11" s="6">
        <f>IF($C$4=Dropdown!$A$1,Dropdown!D11,IF($C$4=Dropdown!$A$2,Dropdown!D17,"Select Year"))</f>
        <v>50.053699999999999</v>
      </c>
      <c r="D11" s="6">
        <f>IF($C$4=Dropdown!$A$1,Dropdown!E11,IF($C$4=Dropdown!$A$2,Dropdown!E17,"Select Year"))</f>
        <v>225.09199999999998</v>
      </c>
      <c r="E11" s="6">
        <f>IF($C$4=Dropdown!$A$1,Dropdown!F11,IF($C$4=Dropdown!$A$2,Dropdown!F17,"Select Year"))</f>
        <v>450.18399999999997</v>
      </c>
      <c r="F11" s="6">
        <f>IF($C$4=Dropdown!$A$1,Dropdown!G11,IF($C$4=Dropdown!$A$2,Dropdown!G17,"Select Year"))</f>
        <v>900.36799999999994</v>
      </c>
      <c r="G11" s="6">
        <f>IF($C$4=Dropdown!$A$1,Dropdown!H11,IF($C$4=Dropdown!$A$2,Dropdown!H17,"Select Year"))</f>
        <v>900.36799999999994</v>
      </c>
      <c r="H11" s="27">
        <f>31*H5</f>
        <v>30.55441478439425</v>
      </c>
      <c r="I11" s="23">
        <f>J10</f>
        <v>0</v>
      </c>
      <c r="J11" s="23">
        <f>J10-I11</f>
        <v>0</v>
      </c>
      <c r="K11" s="6">
        <f>I11*B11</f>
        <v>0</v>
      </c>
      <c r="L11" s="6">
        <f>$I11*C11</f>
        <v>0</v>
      </c>
      <c r="M11" s="6">
        <f>I11*D11</f>
        <v>0</v>
      </c>
      <c r="N11" s="6">
        <f t="shared" si="0"/>
        <v>0</v>
      </c>
      <c r="O11" s="6">
        <f t="shared" si="0"/>
        <v>0</v>
      </c>
      <c r="P11" s="6">
        <f t="shared" si="0"/>
        <v>0</v>
      </c>
    </row>
    <row r="12" spans="1:16" s="2" customFormat="1" ht="27.75" customHeight="1">
      <c r="G12" s="8"/>
      <c r="H12" s="33" t="s">
        <v>32</v>
      </c>
      <c r="I12" s="34"/>
      <c r="J12" s="35"/>
      <c r="K12" s="22">
        <f t="shared" ref="K12:P12" si="2">SUM(K7:K11)</f>
        <v>620.67930677618074</v>
      </c>
      <c r="L12" s="9">
        <f t="shared" si="2"/>
        <v>632.83776591375772</v>
      </c>
      <c r="M12" s="9">
        <f t="shared" si="2"/>
        <v>1235.8941437371664</v>
      </c>
      <c r="N12" s="9">
        <f t="shared" si="2"/>
        <v>2326.9154168377827</v>
      </c>
      <c r="O12" s="9">
        <f t="shared" si="2"/>
        <v>4633.9710554414787</v>
      </c>
      <c r="P12" s="9">
        <f t="shared" si="2"/>
        <v>5997.7476468172481</v>
      </c>
    </row>
    <row r="13" spans="1:16" s="2" customFormat="1" ht="44.25" customHeight="1">
      <c r="G13" s="8"/>
      <c r="H13" s="30" t="s">
        <v>33</v>
      </c>
      <c r="I13" s="31"/>
      <c r="J13" s="31"/>
      <c r="K13" s="32"/>
      <c r="L13" s="10">
        <f>L12-$K$12</f>
        <v>12.158459137576983</v>
      </c>
      <c r="M13" s="10">
        <f>M12-$K$12</f>
        <v>615.21483696098562</v>
      </c>
      <c r="N13" s="10">
        <f>N12-$K$12</f>
        <v>1706.2361100616019</v>
      </c>
      <c r="O13" s="10">
        <f>O12-$K$12</f>
        <v>4013.2917486652977</v>
      </c>
      <c r="P13" s="10">
        <f>P12-$K$12</f>
        <v>5377.0683400410671</v>
      </c>
    </row>
    <row r="14" spans="1:16" ht="44.25" customHeight="1">
      <c r="H14" s="30" t="s">
        <v>34</v>
      </c>
      <c r="I14" s="31"/>
      <c r="J14" s="31"/>
      <c r="K14" s="32"/>
      <c r="L14" s="11" t="s">
        <v>35</v>
      </c>
      <c r="M14" s="10">
        <f>M13-$L$13</f>
        <v>603.05637782340864</v>
      </c>
      <c r="N14" s="10">
        <f>N13-$L$13</f>
        <v>1694.077650924025</v>
      </c>
      <c r="O14" s="10">
        <f>O13-$L$13</f>
        <v>4001.133289527721</v>
      </c>
      <c r="P14" s="10">
        <f>P13-$L$13</f>
        <v>5364.9098809034904</v>
      </c>
    </row>
    <row r="15" spans="1:16" ht="44.25" customHeight="1">
      <c r="H15" s="30" t="s">
        <v>36</v>
      </c>
      <c r="I15" s="31"/>
      <c r="J15" s="31"/>
      <c r="K15" s="32"/>
      <c r="L15" s="11" t="s">
        <v>35</v>
      </c>
      <c r="M15" s="11" t="s">
        <v>35</v>
      </c>
      <c r="N15" s="10">
        <f>N12-$M$12</f>
        <v>1091.0212731006163</v>
      </c>
      <c r="O15" s="10">
        <f>O12-$M$12</f>
        <v>3398.0769117043124</v>
      </c>
      <c r="P15" s="10">
        <f>P12-$M$12</f>
        <v>4761.8535030800813</v>
      </c>
    </row>
    <row r="16" spans="1:16" ht="44.25" customHeight="1">
      <c r="H16" s="30" t="s">
        <v>37</v>
      </c>
      <c r="I16" s="31"/>
      <c r="J16" s="31"/>
      <c r="K16" s="32"/>
      <c r="L16" s="11" t="s">
        <v>35</v>
      </c>
      <c r="M16" s="11" t="s">
        <v>35</v>
      </c>
      <c r="N16" s="11" t="s">
        <v>35</v>
      </c>
      <c r="O16" s="10">
        <f>O12-$N$12</f>
        <v>2307.055638603696</v>
      </c>
      <c r="P16" s="10">
        <f>P12-$N$12</f>
        <v>3670.8322299794654</v>
      </c>
    </row>
    <row r="17" spans="8:16" ht="44.25" customHeight="1">
      <c r="H17" s="30" t="s">
        <v>38</v>
      </c>
      <c r="I17" s="31"/>
      <c r="J17" s="31"/>
      <c r="K17" s="32"/>
      <c r="L17" s="11" t="s">
        <v>35</v>
      </c>
      <c r="M17" s="11" t="s">
        <v>35</v>
      </c>
      <c r="N17" s="11" t="s">
        <v>35</v>
      </c>
      <c r="O17" s="11" t="s">
        <v>35</v>
      </c>
      <c r="P17" s="10">
        <f>P12-$O$12</f>
        <v>1363.7765913757694</v>
      </c>
    </row>
  </sheetData>
  <sheetProtection algorithmName="SHA-512" hashValue="niW9UlAY+kB2qsLb22WljhFh8kDYJdUjO4qc61ttmD6tzLncZCj35i+HTnUM7lgdTRB5HZuwSikrrhQx6jN8eQ==" saltValue="OhG1Mv1uBieJfzlISDlRLg==" spinCount="100000" sheet="1" objects="1" scenarios="1" selectLockedCells="1"/>
  <mergeCells count="7">
    <mergeCell ref="H17:K17"/>
    <mergeCell ref="H12:J12"/>
    <mergeCell ref="B5:G5"/>
    <mergeCell ref="H13:K13"/>
    <mergeCell ref="H14:K14"/>
    <mergeCell ref="H15:K15"/>
    <mergeCell ref="H16:K16"/>
  </mergeCells>
  <phoneticPr fontId="4" type="noConversion"/>
  <conditionalFormatting sqref="M7:P7">
    <cfRule type="cellIs" dxfId="16" priority="20" operator="greaterThan">
      <formula>$K$7</formula>
    </cfRule>
  </conditionalFormatting>
  <conditionalFormatting sqref="M8:P8">
    <cfRule type="cellIs" dxfId="15" priority="19" operator="greaterThan">
      <formula>$K$8</formula>
    </cfRule>
  </conditionalFormatting>
  <conditionalFormatting sqref="M9:P9">
    <cfRule type="cellIs" dxfId="14" priority="18" operator="greaterThan">
      <formula>$K$9</formula>
    </cfRule>
  </conditionalFormatting>
  <conditionalFormatting sqref="M10:P10">
    <cfRule type="cellIs" dxfId="13" priority="17" operator="greaterThan">
      <formula>$K$10</formula>
    </cfRule>
  </conditionalFormatting>
  <conditionalFormatting sqref="M11:P11">
    <cfRule type="cellIs" dxfId="12" priority="16" operator="greaterThan">
      <formula>$K$11</formula>
    </cfRule>
  </conditionalFormatting>
  <conditionalFormatting sqref="L7:L11">
    <cfRule type="cellIs" dxfId="11" priority="15" operator="greaterThan">
      <formula>$K$7</formula>
    </cfRule>
  </conditionalFormatting>
  <conditionalFormatting sqref="L9:P9">
    <cfRule type="cellIs" dxfId="10" priority="10" operator="greaterThan">
      <formula>$K$9</formula>
    </cfRule>
  </conditionalFormatting>
  <conditionalFormatting sqref="L10:P10">
    <cfRule type="cellIs" dxfId="9" priority="9" operator="greaterThan">
      <formula>$K$10</formula>
    </cfRule>
  </conditionalFormatting>
  <conditionalFormatting sqref="L11:P11">
    <cfRule type="cellIs" dxfId="8" priority="8" operator="greaterThan">
      <formula>$K$11</formula>
    </cfRule>
  </conditionalFormatting>
  <conditionalFormatting sqref="M6 M12">
    <cfRule type="expression" dxfId="7" priority="23">
      <formula>$C$3=3</formula>
    </cfRule>
  </conditionalFormatting>
  <conditionalFormatting sqref="L6 L12">
    <cfRule type="expression" dxfId="6" priority="25">
      <formula>$C$3=2</formula>
    </cfRule>
  </conditionalFormatting>
  <conditionalFormatting sqref="K6 K12">
    <cfRule type="expression" dxfId="5" priority="27">
      <formula>$C$3=1</formula>
    </cfRule>
  </conditionalFormatting>
  <conditionalFormatting sqref="N6 N12">
    <cfRule type="expression" dxfId="4" priority="29">
      <formula>$C$3=4</formula>
    </cfRule>
  </conditionalFormatting>
  <conditionalFormatting sqref="O6 O12">
    <cfRule type="expression" dxfId="3" priority="31">
      <formula>$C$3=5</formula>
    </cfRule>
  </conditionalFormatting>
  <conditionalFormatting sqref="P6 P12">
    <cfRule type="expression" dxfId="2" priority="33">
      <formula>$C$3=6</formula>
    </cfRule>
  </conditionalFormatting>
  <hyperlinks>
    <hyperlink ref="B5" r:id="rId1" xr:uid="{8952285A-70B1-4795-8272-90AD7CC506D6}"/>
  </hyperlinks>
  <pageMargins left="0.7" right="0.7" top="0.75" bottom="0.75" header="0.3" footer="0.3"/>
  <pageSetup paperSize="9" scale="74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4641E817-7C87-41FA-A4DF-DC15E5213A4F}">
          <x14:formula1>
            <xm:f>Dropdown!$A$1:$A$2</xm:f>
          </x14:formula1>
          <xm:sqref>C4</xm:sqref>
        </x14:dataValidation>
        <x14:dataValidation type="list" allowBlank="1" showInputMessage="1" showErrorMessage="1" xr:uid="{7EB21271-562A-4624-9DB7-A517C3257D05}">
          <x14:formula1>
            <xm:f>Dropdown!$D$2:$H$2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D0F29-AE34-48C3-B118-A1DE32337D0B}">
  <dimension ref="A1:H22"/>
  <sheetViews>
    <sheetView workbookViewId="0">
      <selection activeCell="B18" sqref="B18"/>
    </sheetView>
  </sheetViews>
  <sheetFormatPr defaultRowHeight="15"/>
  <cols>
    <col min="1" max="1" width="15" bestFit="1" customWidth="1"/>
    <col min="2" max="2" width="10" customWidth="1"/>
    <col min="3" max="8" width="14.140625" customWidth="1"/>
  </cols>
  <sheetData>
    <row r="1" spans="1:8">
      <c r="A1" s="19" t="s">
        <v>39</v>
      </c>
      <c r="B1">
        <f>COUNT(B4:B18)</f>
        <v>5</v>
      </c>
    </row>
    <row r="3" spans="1:8" ht="25.5" customHeight="1">
      <c r="A3" s="14"/>
      <c r="B3" s="14"/>
      <c r="C3" s="18" t="s">
        <v>22</v>
      </c>
      <c r="D3" s="18" t="s">
        <v>40</v>
      </c>
      <c r="E3" s="18" t="s">
        <v>23</v>
      </c>
      <c r="F3" s="18" t="s">
        <v>41</v>
      </c>
      <c r="G3" s="18" t="s">
        <v>42</v>
      </c>
      <c r="H3" s="18" t="s">
        <v>43</v>
      </c>
    </row>
    <row r="4" spans="1:8" ht="25.5" customHeight="1">
      <c r="A4" s="14" t="s">
        <v>44</v>
      </c>
      <c r="B4" s="16">
        <v>6</v>
      </c>
      <c r="C4" s="17">
        <f>($B4/$B$20)*Main!K$12</f>
        <v>112.85078305021469</v>
      </c>
      <c r="D4" s="17">
        <f>($B4/$B$20)*Main!L$12</f>
        <v>115.06141198431959</v>
      </c>
      <c r="E4" s="17">
        <f>($B4/$B$20)*Main!M$12</f>
        <v>224.70802613403026</v>
      </c>
      <c r="F4" s="17">
        <f>($B4/$B$20)*Main!N$12</f>
        <v>423.07553033414234</v>
      </c>
      <c r="G4" s="17">
        <f>($B4/$B$20)*Main!O$12</f>
        <v>842.54019189845064</v>
      </c>
      <c r="H4" s="17">
        <f>($B4/$B$20)*Main!P$12</f>
        <v>1090.4995721485907</v>
      </c>
    </row>
    <row r="5" spans="1:8" ht="25.5" customHeight="1">
      <c r="A5" s="14" t="s">
        <v>45</v>
      </c>
      <c r="B5" s="16">
        <v>5</v>
      </c>
      <c r="C5" s="17">
        <f>($B5/$B$20)*Main!K$12</f>
        <v>94.042319208512239</v>
      </c>
      <c r="D5" s="17">
        <f>($B5/$B$20)*Main!L$12</f>
        <v>95.884509986932997</v>
      </c>
      <c r="E5" s="17">
        <f>($B5/$B$20)*Main!M$12</f>
        <v>187.25668844502522</v>
      </c>
      <c r="F5" s="17">
        <f>($B5/$B$20)*Main!N$12</f>
        <v>352.56294194511861</v>
      </c>
      <c r="G5" s="17">
        <f>($B5/$B$20)*Main!O$12</f>
        <v>702.11682658204222</v>
      </c>
      <c r="H5" s="17">
        <f>($B5/$B$20)*Main!P$12</f>
        <v>908.74964345715887</v>
      </c>
    </row>
    <row r="6" spans="1:8" ht="25.5" customHeight="1">
      <c r="A6" s="14" t="s">
        <v>46</v>
      </c>
      <c r="B6" s="16">
        <v>8</v>
      </c>
      <c r="C6" s="17">
        <f>($B6/$B$20)*Main!K$12</f>
        <v>150.46771073361958</v>
      </c>
      <c r="D6" s="17">
        <f>($B6/$B$20)*Main!L$12</f>
        <v>153.41521597909278</v>
      </c>
      <c r="E6" s="17">
        <f>($B6/$B$20)*Main!M$12</f>
        <v>299.61070151204035</v>
      </c>
      <c r="F6" s="17">
        <f>($B6/$B$20)*Main!N$12</f>
        <v>564.10070711218975</v>
      </c>
      <c r="G6" s="17">
        <f>($B6/$B$20)*Main!O$12</f>
        <v>1123.3869225312676</v>
      </c>
      <c r="H6" s="17">
        <f>($B6/$B$20)*Main!P$12</f>
        <v>1453.9994295314541</v>
      </c>
    </row>
    <row r="7" spans="1:8" ht="25.5" customHeight="1">
      <c r="A7" s="14" t="s">
        <v>47</v>
      </c>
      <c r="B7" s="16">
        <v>12</v>
      </c>
      <c r="C7" s="17">
        <f>($B7/$B$20)*Main!K$12</f>
        <v>225.70156610042937</v>
      </c>
      <c r="D7" s="17">
        <f>($B7/$B$20)*Main!L$12</f>
        <v>230.12282396863918</v>
      </c>
      <c r="E7" s="17">
        <f>($B7/$B$20)*Main!M$12</f>
        <v>449.41605226806053</v>
      </c>
      <c r="F7" s="17">
        <f>($B7/$B$20)*Main!N$12</f>
        <v>846.15106066828469</v>
      </c>
      <c r="G7" s="17">
        <f>($B7/$B$20)*Main!O$12</f>
        <v>1685.0803837969013</v>
      </c>
      <c r="H7" s="17">
        <f>($B7/$B$20)*Main!P$12</f>
        <v>2180.9991442971814</v>
      </c>
    </row>
    <row r="8" spans="1:8" ht="25.5" customHeight="1">
      <c r="A8" s="14" t="s">
        <v>48</v>
      </c>
      <c r="B8" s="16">
        <v>2</v>
      </c>
      <c r="C8" s="17">
        <f>($B8/$B$20)*Main!K$12</f>
        <v>37.616927683404896</v>
      </c>
      <c r="D8" s="17">
        <f>($B8/$B$20)*Main!L$12</f>
        <v>38.353803994773195</v>
      </c>
      <c r="E8" s="17">
        <f>($B8/$B$20)*Main!M$12</f>
        <v>74.902675378010088</v>
      </c>
      <c r="F8" s="17">
        <f>($B8/$B$20)*Main!N$12</f>
        <v>141.02517677804744</v>
      </c>
      <c r="G8" s="17">
        <f>($B8/$B$20)*Main!O$12</f>
        <v>280.8467306328169</v>
      </c>
      <c r="H8" s="17">
        <f>($B8/$B$20)*Main!P$12</f>
        <v>363.49985738286352</v>
      </c>
    </row>
    <row r="9" spans="1:8" ht="25.5" customHeight="1">
      <c r="A9" s="14" t="s">
        <v>49</v>
      </c>
      <c r="B9" s="16"/>
      <c r="C9" s="17">
        <f>($B9/$B$20)*Main!K$12</f>
        <v>0</v>
      </c>
      <c r="D9" s="17">
        <f>($B9/$B$20)*Main!L$12</f>
        <v>0</v>
      </c>
      <c r="E9" s="17">
        <f>($B9/$B$20)*Main!M$12</f>
        <v>0</v>
      </c>
      <c r="F9" s="17">
        <f>($B9/$B$20)*Main!N$12</f>
        <v>0</v>
      </c>
      <c r="G9" s="17">
        <f>($B9/$B$20)*Main!O$12</f>
        <v>0</v>
      </c>
      <c r="H9" s="17">
        <f>($B9/$B$20)*Main!P$12</f>
        <v>0</v>
      </c>
    </row>
    <row r="10" spans="1:8" ht="25.5" customHeight="1">
      <c r="A10" s="14" t="s">
        <v>50</v>
      </c>
      <c r="B10" s="16"/>
      <c r="C10" s="17">
        <f>($B10/$B$20)*Main!K$12</f>
        <v>0</v>
      </c>
      <c r="D10" s="17">
        <f>($B10/$B$20)*Main!L$12</f>
        <v>0</v>
      </c>
      <c r="E10" s="17">
        <f>($B10/$B$20)*Main!M$12</f>
        <v>0</v>
      </c>
      <c r="F10" s="17">
        <f>($B10/$B$20)*Main!N$12</f>
        <v>0</v>
      </c>
      <c r="G10" s="17">
        <f>($B10/$B$20)*Main!O$12</f>
        <v>0</v>
      </c>
      <c r="H10" s="17">
        <f>($B10/$B$20)*Main!P$12</f>
        <v>0</v>
      </c>
    </row>
    <row r="11" spans="1:8" ht="25.5" customHeight="1">
      <c r="A11" s="14" t="s">
        <v>51</v>
      </c>
      <c r="B11" s="16"/>
      <c r="C11" s="17">
        <f>($B11/$B$20)*Main!K$12</f>
        <v>0</v>
      </c>
      <c r="D11" s="17">
        <f>($B11/$B$20)*Main!L$12</f>
        <v>0</v>
      </c>
      <c r="E11" s="17">
        <f>($B11/$B$20)*Main!M$12</f>
        <v>0</v>
      </c>
      <c r="F11" s="17">
        <f>($B11/$B$20)*Main!N$12</f>
        <v>0</v>
      </c>
      <c r="G11" s="17">
        <f>($B11/$B$20)*Main!O$12</f>
        <v>0</v>
      </c>
      <c r="H11" s="17">
        <f>($B11/$B$20)*Main!P$12</f>
        <v>0</v>
      </c>
    </row>
    <row r="12" spans="1:8" ht="25.5" customHeight="1">
      <c r="A12" s="14" t="s">
        <v>52</v>
      </c>
      <c r="B12" s="16"/>
      <c r="C12" s="17">
        <f>($B12/$B$20)*Main!K$12</f>
        <v>0</v>
      </c>
      <c r="D12" s="17">
        <f>($B12/$B$20)*Main!L$12</f>
        <v>0</v>
      </c>
      <c r="E12" s="17">
        <f>($B12/$B$20)*Main!M$12</f>
        <v>0</v>
      </c>
      <c r="F12" s="17">
        <f>($B12/$B$20)*Main!N$12</f>
        <v>0</v>
      </c>
      <c r="G12" s="17">
        <f>($B12/$B$20)*Main!O$12</f>
        <v>0</v>
      </c>
      <c r="H12" s="17">
        <f>($B12/$B$20)*Main!P$12</f>
        <v>0</v>
      </c>
    </row>
    <row r="13" spans="1:8" ht="25.5" customHeight="1">
      <c r="A13" s="14" t="s">
        <v>53</v>
      </c>
      <c r="B13" s="16"/>
      <c r="C13" s="17">
        <f>($B13/$B$20)*Main!K$12</f>
        <v>0</v>
      </c>
      <c r="D13" s="17">
        <f>($B13/$B$20)*Main!L$12</f>
        <v>0</v>
      </c>
      <c r="E13" s="17">
        <f>($B13/$B$20)*Main!M$12</f>
        <v>0</v>
      </c>
      <c r="F13" s="17">
        <f>($B13/$B$20)*Main!N$12</f>
        <v>0</v>
      </c>
      <c r="G13" s="17">
        <f>($B13/$B$20)*Main!O$12</f>
        <v>0</v>
      </c>
      <c r="H13" s="17">
        <f>($B13/$B$20)*Main!P$12</f>
        <v>0</v>
      </c>
    </row>
    <row r="14" spans="1:8" ht="25.5" customHeight="1">
      <c r="A14" s="14" t="s">
        <v>54</v>
      </c>
      <c r="B14" s="16"/>
      <c r="C14" s="17">
        <f>($B14/$B$20)*Main!K$12</f>
        <v>0</v>
      </c>
      <c r="D14" s="17">
        <f>($B14/$B$20)*Main!L$12</f>
        <v>0</v>
      </c>
      <c r="E14" s="17">
        <f>($B14/$B$20)*Main!M$12</f>
        <v>0</v>
      </c>
      <c r="F14" s="17">
        <f>($B14/$B$20)*Main!N$12</f>
        <v>0</v>
      </c>
      <c r="G14" s="17">
        <f>($B14/$B$20)*Main!O$12</f>
        <v>0</v>
      </c>
      <c r="H14" s="17">
        <f>($B14/$B$20)*Main!P$12</f>
        <v>0</v>
      </c>
    </row>
    <row r="15" spans="1:8" ht="25.5" customHeight="1">
      <c r="A15" s="14" t="s">
        <v>55</v>
      </c>
      <c r="B15" s="16"/>
      <c r="C15" s="17">
        <f>($B15/$B$20)*Main!K$12</f>
        <v>0</v>
      </c>
      <c r="D15" s="17">
        <f>($B15/$B$20)*Main!L$12</f>
        <v>0</v>
      </c>
      <c r="E15" s="17">
        <f>($B15/$B$20)*Main!M$12</f>
        <v>0</v>
      </c>
      <c r="F15" s="17">
        <f>($B15/$B$20)*Main!N$12</f>
        <v>0</v>
      </c>
      <c r="G15" s="17">
        <f>($B15/$B$20)*Main!O$12</f>
        <v>0</v>
      </c>
      <c r="H15" s="17">
        <f>($B15/$B$20)*Main!P$12</f>
        <v>0</v>
      </c>
    </row>
    <row r="16" spans="1:8" ht="25.5" customHeight="1">
      <c r="A16" s="14" t="s">
        <v>56</v>
      </c>
      <c r="B16" s="16"/>
      <c r="C16" s="17">
        <f>($B16/$B$20)*Main!K$12</f>
        <v>0</v>
      </c>
      <c r="D16" s="17">
        <f>($B16/$B$20)*Main!L$12</f>
        <v>0</v>
      </c>
      <c r="E16" s="17">
        <f>($B16/$B$20)*Main!M$12</f>
        <v>0</v>
      </c>
      <c r="F16" s="17">
        <f>($B16/$B$20)*Main!N$12</f>
        <v>0</v>
      </c>
      <c r="G16" s="17">
        <f>($B16/$B$20)*Main!O$12</f>
        <v>0</v>
      </c>
      <c r="H16" s="17">
        <f>($B16/$B$20)*Main!P$12</f>
        <v>0</v>
      </c>
    </row>
    <row r="17" spans="1:8" ht="25.5" customHeight="1">
      <c r="A17" s="14" t="s">
        <v>57</v>
      </c>
      <c r="B17" s="16"/>
      <c r="C17" s="17">
        <f>($B17/$B$20)*Main!K$12</f>
        <v>0</v>
      </c>
      <c r="D17" s="17">
        <f>($B17/$B$20)*Main!L$12</f>
        <v>0</v>
      </c>
      <c r="E17" s="17">
        <f>($B17/$B$20)*Main!M$12</f>
        <v>0</v>
      </c>
      <c r="F17" s="17">
        <f>($B17/$B$20)*Main!N$12</f>
        <v>0</v>
      </c>
      <c r="G17" s="17">
        <f>($B17/$B$20)*Main!O$12</f>
        <v>0</v>
      </c>
      <c r="H17" s="17">
        <f>($B17/$B$20)*Main!P$12</f>
        <v>0</v>
      </c>
    </row>
    <row r="18" spans="1:8" ht="25.5" customHeight="1">
      <c r="A18" s="14" t="s">
        <v>58</v>
      </c>
      <c r="B18" s="16"/>
      <c r="C18" s="17">
        <f>($B18/$B$20)*Main!K$12</f>
        <v>0</v>
      </c>
      <c r="D18" s="17">
        <f>($B18/$B$20)*Main!L$12</f>
        <v>0</v>
      </c>
      <c r="E18" s="17">
        <f>($B18/$B$20)*Main!M$12</f>
        <v>0</v>
      </c>
      <c r="F18" s="17">
        <f>($B18/$B$20)*Main!N$12</f>
        <v>0</v>
      </c>
      <c r="G18" s="17">
        <f>($B18/$B$20)*Main!O$12</f>
        <v>0</v>
      </c>
      <c r="H18" s="17">
        <f>($B18/$B$20)*Main!P$12</f>
        <v>0</v>
      </c>
    </row>
    <row r="20" spans="1:8">
      <c r="A20" s="14" t="s">
        <v>59</v>
      </c>
      <c r="B20" s="14">
        <f t="shared" ref="B20:H20" si="0">SUM(B4:B19)</f>
        <v>33</v>
      </c>
      <c r="C20" s="15">
        <f t="shared" si="0"/>
        <v>620.67930677618085</v>
      </c>
      <c r="D20" s="15">
        <f t="shared" si="0"/>
        <v>632.83776591375772</v>
      </c>
      <c r="E20" s="15">
        <f t="shared" si="0"/>
        <v>1235.8941437371666</v>
      </c>
      <c r="F20" s="15">
        <f t="shared" si="0"/>
        <v>2326.9154168377827</v>
      </c>
      <c r="G20" s="15">
        <f t="shared" si="0"/>
        <v>4633.9710554414787</v>
      </c>
      <c r="H20" s="15">
        <f t="shared" si="0"/>
        <v>5997.7476468172481</v>
      </c>
    </row>
    <row r="21" spans="1:8">
      <c r="B21" t="s">
        <v>60</v>
      </c>
    </row>
    <row r="22" spans="1:8">
      <c r="B22" t="s">
        <v>61</v>
      </c>
    </row>
  </sheetData>
  <sheetProtection algorithmName="SHA-512" hashValue="g/9NnMqe9YV5AbP89WHM5UUzjvwzI2u748wBJTQ8oZz+mtTuUEqMZst6l94yIV5JoqY9tn9DWM1f91sAT/OIUQ==" saltValue="FcyrO69+DKUCU/ShYStfnw==" spinCount="100000" sheet="1" objects="1" scenarios="1" selectLockedCells="1"/>
  <phoneticPr fontId="4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notEqual" id="{E02A52F9-29D4-4D9D-B785-01E8B9185DFA}">
            <xm:f>Main!$C$1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2" operator="equal" id="{B2A0FA43-E5CD-45FA-806F-5120C052CB5E}">
            <xm:f>Main!$C$1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E4C9-ADD7-4340-91E8-7B4579C8A96F}">
  <dimension ref="A1:H17"/>
  <sheetViews>
    <sheetView workbookViewId="0">
      <selection activeCell="I2" sqref="I2"/>
    </sheetView>
  </sheetViews>
  <sheetFormatPr defaultRowHeight="15"/>
  <sheetData>
    <row r="1" spans="1:8">
      <c r="A1" t="s">
        <v>62</v>
      </c>
    </row>
    <row r="2" spans="1:8">
      <c r="A2" t="s">
        <v>9</v>
      </c>
      <c r="D2">
        <v>1</v>
      </c>
      <c r="E2">
        <v>2</v>
      </c>
      <c r="F2">
        <v>3</v>
      </c>
      <c r="G2">
        <v>4</v>
      </c>
      <c r="H2">
        <v>5</v>
      </c>
    </row>
    <row r="7" spans="1:8">
      <c r="B7">
        <v>2019</v>
      </c>
      <c r="C7" s="6">
        <v>17.895499999999998</v>
      </c>
      <c r="D7" s="6">
        <v>17.734300000000001</v>
      </c>
      <c r="E7" s="6">
        <v>17.895499999999998</v>
      </c>
      <c r="F7" s="6">
        <v>17.895499999999998</v>
      </c>
      <c r="G7" s="6">
        <v>17.895499999999998</v>
      </c>
      <c r="H7" s="6">
        <v>17.895499999999998</v>
      </c>
    </row>
    <row r="8" spans="1:8">
      <c r="C8" s="6">
        <v>18.246400000000001</v>
      </c>
      <c r="D8" s="6">
        <v>18.082100000000001</v>
      </c>
      <c r="E8" s="6">
        <v>18.246400000000001</v>
      </c>
      <c r="F8" s="6">
        <v>18.246400000000001</v>
      </c>
      <c r="G8" s="6">
        <v>18.246400000000001</v>
      </c>
      <c r="H8" s="6">
        <v>18.246400000000001</v>
      </c>
    </row>
    <row r="9" spans="1:8">
      <c r="C9" s="6">
        <v>25.341899999999999</v>
      </c>
      <c r="D9" s="6">
        <v>25.726400000000002</v>
      </c>
      <c r="E9" s="6">
        <v>25.341899999999999</v>
      </c>
      <c r="F9" s="6">
        <f>25.3419*5</f>
        <v>126.70949999999999</v>
      </c>
      <c r="G9" s="6">
        <f>25.3419*5</f>
        <v>126.70949999999999</v>
      </c>
      <c r="H9" s="6">
        <f>25.3419*10</f>
        <v>253.41899999999998</v>
      </c>
    </row>
    <row r="10" spans="1:8">
      <c r="C10" s="6">
        <v>32.8506</v>
      </c>
      <c r="D10" s="6">
        <v>34.936799999999998</v>
      </c>
      <c r="E10" s="6">
        <f>32.8506*5</f>
        <v>164.25299999999999</v>
      </c>
      <c r="F10" s="6">
        <f>32.8506*5</f>
        <v>164.25299999999999</v>
      </c>
      <c r="G10" s="6">
        <f>32.8506*20</f>
        <v>657.01199999999994</v>
      </c>
      <c r="H10" s="6">
        <f>32.8506*20</f>
        <v>657.01199999999994</v>
      </c>
    </row>
    <row r="11" spans="1:8">
      <c r="C11" s="6">
        <v>41.2256</v>
      </c>
      <c r="D11" s="6">
        <v>45.8367</v>
      </c>
      <c r="E11" s="6">
        <v>206.15</v>
      </c>
      <c r="F11" s="6">
        <f>41.2256*10</f>
        <v>412.25599999999997</v>
      </c>
      <c r="G11" s="6">
        <f>41.2256*20</f>
        <v>824.51199999999994</v>
      </c>
      <c r="H11" s="6">
        <f>41.2256*20</f>
        <v>824.51199999999994</v>
      </c>
    </row>
    <row r="13" spans="1:8">
      <c r="B13">
        <v>2020</v>
      </c>
      <c r="C13" s="6">
        <v>19.541799999999999</v>
      </c>
      <c r="D13" s="6">
        <v>19.3659</v>
      </c>
      <c r="E13" s="6">
        <v>19.541799999999999</v>
      </c>
      <c r="F13" s="6">
        <v>19.541799999999999</v>
      </c>
      <c r="G13" s="6">
        <v>19.541799999999999</v>
      </c>
      <c r="H13" s="6">
        <v>19.541799999999999</v>
      </c>
    </row>
    <row r="14" spans="1:8">
      <c r="C14" s="6">
        <v>19.9251</v>
      </c>
      <c r="D14" s="6">
        <v>19.7456</v>
      </c>
      <c r="E14" s="6">
        <v>19.9251</v>
      </c>
      <c r="F14" s="6">
        <v>19.9251</v>
      </c>
      <c r="G14" s="6">
        <v>19.9251</v>
      </c>
      <c r="H14" s="6">
        <v>19.9251</v>
      </c>
    </row>
    <row r="15" spans="1:8">
      <c r="C15" s="6">
        <v>27.673300000000001</v>
      </c>
      <c r="D15" s="6">
        <v>28.0932</v>
      </c>
      <c r="E15" s="6">
        <v>27.673300000000001</v>
      </c>
      <c r="F15" s="6">
        <f>27.6733*5</f>
        <v>138.3665</v>
      </c>
      <c r="G15" s="6">
        <f>27.6733*5</f>
        <v>138.3665</v>
      </c>
      <c r="H15" s="6">
        <f>27.6733*10</f>
        <v>276.733</v>
      </c>
    </row>
    <row r="16" spans="1:8">
      <c r="C16" s="6">
        <v>35.872799999999998</v>
      </c>
      <c r="D16" s="6">
        <v>38.151000000000003</v>
      </c>
      <c r="E16" s="6">
        <f>35.8728*5</f>
        <v>179.36399999999998</v>
      </c>
      <c r="F16" s="6">
        <f>35.8728*5</f>
        <v>179.36399999999998</v>
      </c>
      <c r="G16" s="6">
        <f>35.8728*20</f>
        <v>717.4559999999999</v>
      </c>
      <c r="H16" s="6">
        <f>35.8728*20</f>
        <v>717.4559999999999</v>
      </c>
    </row>
    <row r="17" spans="3:8">
      <c r="C17" s="6">
        <v>45.0184</v>
      </c>
      <c r="D17" s="6">
        <v>50.053699999999999</v>
      </c>
      <c r="E17" s="6">
        <f>45.0184*5</f>
        <v>225.09199999999998</v>
      </c>
      <c r="F17" s="6">
        <f>45.0184*10</f>
        <v>450.18399999999997</v>
      </c>
      <c r="G17" s="6">
        <f>45.0184*20</f>
        <v>900.36799999999994</v>
      </c>
      <c r="H17" s="6">
        <f>45.0184*20</f>
        <v>900.36799999999994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Donald Bradbury</dc:creator>
  <cp:keywords/>
  <dc:description/>
  <cp:lastModifiedBy>Donald Bradbury</cp:lastModifiedBy>
  <cp:revision/>
  <dcterms:created xsi:type="dcterms:W3CDTF">2019-12-31T07:24:12Z</dcterms:created>
  <dcterms:modified xsi:type="dcterms:W3CDTF">2020-08-07T19:55:36Z</dcterms:modified>
  <cp:category/>
  <cp:contentStatus/>
</cp:coreProperties>
</file>